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ocuments\Copy of Copy of MyFiles\"/>
    </mc:Choice>
  </mc:AlternateContent>
  <bookViews>
    <workbookView xWindow="0" yWindow="0" windowWidth="20490" windowHeight="71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I62" i="1"/>
  <c r="G62" i="1"/>
  <c r="E62" i="1"/>
  <c r="A56" i="1"/>
  <c r="N54" i="1"/>
  <c r="M50" i="1"/>
  <c r="A50" i="1"/>
  <c r="M49" i="1"/>
  <c r="A49" i="1"/>
  <c r="P48" i="1"/>
  <c r="M48" i="1"/>
  <c r="A48" i="1"/>
  <c r="N45" i="1"/>
  <c r="N62" i="1" s="1"/>
  <c r="L45" i="1"/>
  <c r="L62" i="1" s="1"/>
  <c r="K45" i="1"/>
  <c r="K51" i="1" s="1"/>
  <c r="J45" i="1"/>
  <c r="J62" i="1" s="1"/>
  <c r="I45" i="1"/>
  <c r="I51" i="1" s="1"/>
  <c r="H45" i="1"/>
  <c r="H62" i="1" s="1"/>
  <c r="G45" i="1"/>
  <c r="G51" i="1" s="1"/>
  <c r="F45" i="1"/>
  <c r="F62" i="1" s="1"/>
  <c r="E45" i="1"/>
  <c r="E51" i="1" s="1"/>
  <c r="D45" i="1"/>
  <c r="D51" i="1" s="1"/>
  <c r="C45" i="1"/>
  <c r="C51" i="1" s="1"/>
  <c r="B45" i="1"/>
  <c r="B51" i="1" s="1"/>
  <c r="P44" i="1"/>
  <c r="O44" i="1"/>
  <c r="N44" i="1"/>
  <c r="M44" i="1"/>
  <c r="M43" i="1"/>
  <c r="M42" i="1"/>
  <c r="P41" i="1"/>
  <c r="O41" i="1"/>
  <c r="N41" i="1"/>
  <c r="M41" i="1"/>
  <c r="M40" i="1"/>
  <c r="M39" i="1"/>
  <c r="M38" i="1"/>
  <c r="M37" i="1"/>
  <c r="M36" i="1"/>
  <c r="P35" i="1"/>
  <c r="P45" i="1" s="1"/>
  <c r="O35" i="1"/>
  <c r="O45" i="1" s="1"/>
  <c r="N35" i="1"/>
  <c r="M35" i="1" s="1"/>
  <c r="M45" i="1" s="1"/>
  <c r="M31" i="1"/>
  <c r="A31" i="1"/>
  <c r="M30" i="1"/>
  <c r="A30" i="1"/>
  <c r="M29" i="1"/>
  <c r="A29" i="1"/>
  <c r="M28" i="1"/>
  <c r="A28" i="1"/>
  <c r="M27" i="1"/>
  <c r="A27" i="1"/>
  <c r="M26" i="1"/>
  <c r="A26" i="1"/>
  <c r="M25" i="1"/>
  <c r="A25" i="1"/>
  <c r="M24" i="1"/>
  <c r="A24" i="1"/>
  <c r="M23" i="1"/>
  <c r="P20" i="1"/>
  <c r="P32" i="1" s="1"/>
  <c r="O20" i="1"/>
  <c r="O32" i="1" s="1"/>
  <c r="N20" i="1"/>
  <c r="N32" i="1" s="1"/>
  <c r="L20" i="1"/>
  <c r="L32" i="1" s="1"/>
  <c r="K20" i="1"/>
  <c r="K32" i="1" s="1"/>
  <c r="J20" i="1"/>
  <c r="J32" i="1" s="1"/>
  <c r="I20" i="1"/>
  <c r="I32" i="1" s="1"/>
  <c r="I53" i="1" s="1"/>
  <c r="I63" i="1" s="1"/>
  <c r="H20" i="1"/>
  <c r="H32" i="1" s="1"/>
  <c r="G20" i="1"/>
  <c r="G32" i="1" s="1"/>
  <c r="F20" i="1"/>
  <c r="F32" i="1" s="1"/>
  <c r="E20" i="1"/>
  <c r="E32" i="1" s="1"/>
  <c r="E53" i="1" s="1"/>
  <c r="E63" i="1" s="1"/>
  <c r="D20" i="1"/>
  <c r="D32" i="1" s="1"/>
  <c r="D53" i="1" s="1"/>
  <c r="C20" i="1"/>
  <c r="C32" i="1" s="1"/>
  <c r="B20" i="1"/>
  <c r="B32" i="1" s="1"/>
  <c r="B53" i="1" s="1"/>
  <c r="B55" i="1" s="1"/>
  <c r="C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M20" i="1" s="1"/>
  <c r="M32" i="1" s="1"/>
  <c r="A5" i="1"/>
  <c r="P3" i="1"/>
  <c r="O3" i="1"/>
  <c r="N3" i="1"/>
  <c r="B2" i="1"/>
  <c r="A1" i="1"/>
  <c r="M51" i="1" l="1"/>
  <c r="M62" i="1"/>
  <c r="M53" i="1"/>
  <c r="M63" i="1" s="1"/>
  <c r="O53" i="1"/>
  <c r="O63" i="1" s="1"/>
  <c r="O62" i="1"/>
  <c r="O51" i="1"/>
  <c r="N53" i="1"/>
  <c r="C53" i="1"/>
  <c r="C55" i="1" s="1"/>
  <c r="D54" i="1" s="1"/>
  <c r="D55" i="1" s="1"/>
  <c r="E54" i="1" s="1"/>
  <c r="E55" i="1" s="1"/>
  <c r="F54" i="1" s="1"/>
  <c r="F55" i="1" s="1"/>
  <c r="G54" i="1" s="1"/>
  <c r="G55" i="1" s="1"/>
  <c r="H54" i="1" s="1"/>
  <c r="H55" i="1" s="1"/>
  <c r="I54" i="1" s="1"/>
  <c r="I55" i="1" s="1"/>
  <c r="J54" i="1" s="1"/>
  <c r="J55" i="1" s="1"/>
  <c r="K54" i="1" s="1"/>
  <c r="K55" i="1" s="1"/>
  <c r="L54" i="1" s="1"/>
  <c r="L55" i="1" s="1"/>
  <c r="M54" i="1" s="1"/>
  <c r="M55" i="1" s="1"/>
  <c r="G53" i="1"/>
  <c r="G63" i="1" s="1"/>
  <c r="K53" i="1"/>
  <c r="K63" i="1" s="1"/>
  <c r="P53" i="1"/>
  <c r="P63" i="1" s="1"/>
  <c r="P62" i="1"/>
  <c r="P51" i="1"/>
  <c r="F51" i="1"/>
  <c r="F53" i="1" s="1"/>
  <c r="F63" i="1" s="1"/>
  <c r="J51" i="1"/>
  <c r="J53" i="1" s="1"/>
  <c r="J63" i="1" s="1"/>
  <c r="N51" i="1"/>
  <c r="H51" i="1"/>
  <c r="H53" i="1" s="1"/>
  <c r="H63" i="1" s="1"/>
  <c r="L51" i="1"/>
  <c r="L53" i="1" s="1"/>
  <c r="L63" i="1" s="1"/>
  <c r="N63" i="1" l="1"/>
  <c r="N55" i="1"/>
  <c r="O54" i="1" s="1"/>
  <c r="O55" i="1" s="1"/>
  <c r="P54" i="1" s="1"/>
  <c r="P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<sst xmlns="http://schemas.openxmlformats.org/spreadsheetml/2006/main" count="40" uniqueCount="39">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</sst>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Documents/al%20s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2018/19</v>
          </cell>
        </row>
        <row r="16">
          <cell r="B16" t="str">
            <v>Budget Year +1 2019/20</v>
          </cell>
        </row>
        <row r="17">
          <cell r="B17" t="str">
            <v>Budget Year +2 2020/21</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x14ac:dyDescent="0.25">
      <c r="A2" s="3" t="s">
        <v>0</v>
      </c>
      <c r="B2" s="73" t="str">
        <f>Head9</f>
        <v>Budget Year 2018/19</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2018/19</v>
      </c>
      <c r="O3" s="6" t="str">
        <f>Head10</f>
        <v>Budget Year +1 2019/20</v>
      </c>
      <c r="P3" s="8" t="str">
        <f>Head11</f>
        <v>Budget Year +2 2020/21</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6546304.3299532393</v>
      </c>
      <c r="C5" s="18">
        <v>7480692.1616186406</v>
      </c>
      <c r="D5" s="18">
        <v>6896859.2485864013</v>
      </c>
      <c r="E5" s="18">
        <v>7669912.4004648039</v>
      </c>
      <c r="F5" s="18">
        <v>7613550.908168315</v>
      </c>
      <c r="G5" s="18">
        <v>7510358.314200772</v>
      </c>
      <c r="H5" s="18">
        <v>7380167.8624595981</v>
      </c>
      <c r="I5" s="18">
        <v>8233866.0111789452</v>
      </c>
      <c r="J5" s="18">
        <v>9033854.7674797494</v>
      </c>
      <c r="K5" s="18">
        <v>8827206.3763987049</v>
      </c>
      <c r="L5" s="18">
        <v>7840480.5528762396</v>
      </c>
      <c r="M5" s="19">
        <f t="shared" ref="M5:M19" si="0">N5-SUM(B5:L5)</f>
        <v>8766747.066614598</v>
      </c>
      <c r="N5" s="17">
        <v>93800000</v>
      </c>
      <c r="O5" s="18">
        <v>98959000</v>
      </c>
      <c r="P5" s="20">
        <v>104401745</v>
      </c>
      <c r="Q5" s="21">
        <v>100001</v>
      </c>
      <c r="R5" s="22">
        <v>100001</v>
      </c>
      <c r="S5" s="22">
        <v>100001</v>
      </c>
      <c r="T5" s="15"/>
      <c r="U5" s="15"/>
      <c r="V5" s="15"/>
    </row>
    <row r="6" spans="1:22" x14ac:dyDescent="0.25">
      <c r="A6" s="16" t="str">
        <f>'[1]A4-FinPerf RE'!A6</f>
        <v>Service charges - electricity revenue</v>
      </c>
      <c r="B6" s="17">
        <v>36570094.534338154</v>
      </c>
      <c r="C6" s="18">
        <v>37256434.909214459</v>
      </c>
      <c r="D6" s="18">
        <v>44374479.887618482</v>
      </c>
      <c r="E6" s="18">
        <v>46073448.125098586</v>
      </c>
      <c r="F6" s="18">
        <v>49330835.032652713</v>
      </c>
      <c r="G6" s="18">
        <v>38868021.104098693</v>
      </c>
      <c r="H6" s="18">
        <v>41532609.101851195</v>
      </c>
      <c r="I6" s="18">
        <v>41822797.185033582</v>
      </c>
      <c r="J6" s="18">
        <v>39146298.12939772</v>
      </c>
      <c r="K6" s="18">
        <v>35956153.793967716</v>
      </c>
      <c r="L6" s="18">
        <v>48558027.333022714</v>
      </c>
      <c r="M6" s="19">
        <f t="shared" si="0"/>
        <v>41861800.863705993</v>
      </c>
      <c r="N6" s="17">
        <v>501351000</v>
      </c>
      <c r="O6" s="18">
        <v>528925305</v>
      </c>
      <c r="P6" s="20">
        <v>558016196.77499998</v>
      </c>
      <c r="T6" s="15"/>
      <c r="U6" s="15"/>
      <c r="V6" s="15"/>
    </row>
    <row r="7" spans="1:22" x14ac:dyDescent="0.25">
      <c r="A7" s="16" t="str">
        <f>'[1]A4-FinPerf RE'!A7</f>
        <v>Service charges - water revenue</v>
      </c>
      <c r="B7" s="17"/>
      <c r="C7" s="18"/>
      <c r="D7" s="18"/>
      <c r="E7" s="18"/>
      <c r="F7" s="18"/>
      <c r="G7" s="18"/>
      <c r="H7" s="18"/>
      <c r="I7" s="18"/>
      <c r="J7" s="18"/>
      <c r="K7" s="18"/>
      <c r="L7" s="18"/>
      <c r="M7" s="19">
        <f t="shared" si="0"/>
        <v>0</v>
      </c>
      <c r="N7" s="17">
        <v>0</v>
      </c>
      <c r="O7" s="18">
        <v>0</v>
      </c>
      <c r="P7" s="20">
        <v>0</v>
      </c>
      <c r="T7" s="15"/>
      <c r="U7" s="15"/>
      <c r="V7" s="15"/>
    </row>
    <row r="8" spans="1:22" x14ac:dyDescent="0.25">
      <c r="A8" s="16" t="str">
        <f>'[1]A4-FinPerf RE'!A8</f>
        <v>Service charges - sanitation revenue</v>
      </c>
      <c r="B8" s="17"/>
      <c r="C8" s="18"/>
      <c r="D8" s="18"/>
      <c r="E8" s="18"/>
      <c r="F8" s="18"/>
      <c r="G8" s="18"/>
      <c r="H8" s="18"/>
      <c r="I8" s="18"/>
      <c r="J8" s="18"/>
      <c r="K8" s="18"/>
      <c r="L8" s="18"/>
      <c r="M8" s="19">
        <f t="shared" si="0"/>
        <v>0</v>
      </c>
      <c r="N8" s="17">
        <v>0</v>
      </c>
      <c r="O8" s="18">
        <v>0</v>
      </c>
      <c r="P8" s="20">
        <v>0</v>
      </c>
      <c r="T8" s="15"/>
      <c r="U8" s="15"/>
      <c r="V8" s="15"/>
    </row>
    <row r="9" spans="1:22" x14ac:dyDescent="0.25">
      <c r="A9" s="16" t="str">
        <f>'[1]A4-FinPerf RE'!A9</f>
        <v>Service charges - refuse revenue</v>
      </c>
      <c r="B9" s="17">
        <v>2107425.6660461263</v>
      </c>
      <c r="C9" s="18">
        <v>2616061.2996948841</v>
      </c>
      <c r="D9" s="18">
        <v>2700536.3509748015</v>
      </c>
      <c r="E9" s="18">
        <v>2611521.507084412</v>
      </c>
      <c r="F9" s="18">
        <v>2930565.4728159881</v>
      </c>
      <c r="G9" s="18">
        <v>2479200.1082676263</v>
      </c>
      <c r="H9" s="18">
        <v>2381704.024805414</v>
      </c>
      <c r="I9" s="18">
        <v>2338836.8542870106</v>
      </c>
      <c r="J9" s="18">
        <v>2363867.1990757766</v>
      </c>
      <c r="K9" s="18">
        <v>2740245.2873235773</v>
      </c>
      <c r="L9" s="18">
        <v>2412921.0843263753</v>
      </c>
      <c r="M9" s="19">
        <f t="shared" si="0"/>
        <v>2749115.1452980079</v>
      </c>
      <c r="N9" s="17">
        <v>30432000</v>
      </c>
      <c r="O9" s="18">
        <v>32105760</v>
      </c>
      <c r="P9" s="20">
        <v>33871576.799999997</v>
      </c>
      <c r="T9" s="15"/>
      <c r="U9" s="15"/>
      <c r="V9" s="15"/>
    </row>
    <row r="10" spans="1:22" x14ac:dyDescent="0.25">
      <c r="A10" s="16" t="str">
        <f>'[1]A4-FinPerf RE'!A10</f>
        <v>Service charges - other</v>
      </c>
      <c r="B10" s="17">
        <v>258498.32682654783</v>
      </c>
      <c r="C10" s="18">
        <v>257496.03157578586</v>
      </c>
      <c r="D10" s="18">
        <v>236834.48453387065</v>
      </c>
      <c r="E10" s="18">
        <v>236582.97224248151</v>
      </c>
      <c r="F10" s="18">
        <v>226203.39782916519</v>
      </c>
      <c r="G10" s="18">
        <v>231740.42215453257</v>
      </c>
      <c r="H10" s="18">
        <v>232108.30580462501</v>
      </c>
      <c r="I10" s="18">
        <v>239136.88560927825</v>
      </c>
      <c r="J10" s="18">
        <v>320581.82104194351</v>
      </c>
      <c r="K10" s="18">
        <v>237705.39276674236</v>
      </c>
      <c r="L10" s="18">
        <v>270281.86537389021</v>
      </c>
      <c r="M10" s="19">
        <f t="shared" si="0"/>
        <v>402830.09424113669</v>
      </c>
      <c r="N10" s="17">
        <v>3150000</v>
      </c>
      <c r="O10" s="18">
        <v>3323250</v>
      </c>
      <c r="P10" s="20">
        <v>3506028.75</v>
      </c>
      <c r="T10" s="15"/>
      <c r="U10" s="15"/>
      <c r="V10" s="15"/>
    </row>
    <row r="11" spans="1:22" x14ac:dyDescent="0.25">
      <c r="A11" s="16" t="str">
        <f>'[1]A4-FinPerf RE'!A11</f>
        <v>Rental of facilities and equipment</v>
      </c>
      <c r="B11" s="17">
        <v>164257.34656454998</v>
      </c>
      <c r="C11" s="18">
        <v>166062.62668742391</v>
      </c>
      <c r="D11" s="18">
        <v>157846.28766665325</v>
      </c>
      <c r="E11" s="18">
        <v>159822.83795502933</v>
      </c>
      <c r="F11" s="18">
        <v>166270.92824006302</v>
      </c>
      <c r="G11" s="18">
        <v>159790.43549128587</v>
      </c>
      <c r="H11" s="18">
        <v>162336.34335687716</v>
      </c>
      <c r="I11" s="18">
        <v>153957.99201738587</v>
      </c>
      <c r="J11" s="18">
        <v>161757.72793287932</v>
      </c>
      <c r="K11" s="18">
        <v>153957.99201738587</v>
      </c>
      <c r="L11" s="18">
        <v>161040.24480712175</v>
      </c>
      <c r="M11" s="19">
        <f t="shared" si="0"/>
        <v>4999.2372633449268</v>
      </c>
      <c r="N11" s="17">
        <v>1772100</v>
      </c>
      <c r="O11" s="18">
        <v>1869565.5</v>
      </c>
      <c r="P11" s="20">
        <v>1972391.6025</v>
      </c>
      <c r="T11" s="15"/>
      <c r="U11" s="15"/>
      <c r="V11" s="15"/>
    </row>
    <row r="12" spans="1:22" x14ac:dyDescent="0.25">
      <c r="A12" s="16" t="str">
        <f>'[1]A4-FinPerf RE'!A12</f>
        <v>Interest earned - external investments</v>
      </c>
      <c r="B12" s="17">
        <v>0</v>
      </c>
      <c r="C12" s="18">
        <v>0</v>
      </c>
      <c r="D12" s="18">
        <v>0</v>
      </c>
      <c r="E12" s="18">
        <v>0</v>
      </c>
      <c r="F12" s="18">
        <v>895684.86165157566</v>
      </c>
      <c r="G12" s="18">
        <v>110089.38963525044</v>
      </c>
      <c r="H12" s="18">
        <v>244843.14724843286</v>
      </c>
      <c r="I12" s="18">
        <v>158215.57479914572</v>
      </c>
      <c r="J12" s="18">
        <v>142575.82718942271</v>
      </c>
      <c r="K12" s="18">
        <v>1431637.0837999429</v>
      </c>
      <c r="L12" s="18">
        <v>55286.595631225719</v>
      </c>
      <c r="M12" s="19">
        <f t="shared" si="0"/>
        <v>762667.52004500432</v>
      </c>
      <c r="N12" s="17">
        <v>3801000</v>
      </c>
      <c r="O12" s="18">
        <v>4010055</v>
      </c>
      <c r="P12" s="20">
        <v>4230608.0250000004</v>
      </c>
      <c r="T12" s="15"/>
      <c r="U12" s="15"/>
      <c r="V12" s="15"/>
    </row>
    <row r="13" spans="1:22" x14ac:dyDescent="0.25">
      <c r="A13" s="16" t="str">
        <f>'[1]A4-FinPerf RE'!A13</f>
        <v>Interest earned - outstanding debtors</v>
      </c>
      <c r="B13" s="17">
        <v>1333795.8475752156</v>
      </c>
      <c r="C13" s="18">
        <v>1386857.47123495</v>
      </c>
      <c r="D13" s="18">
        <v>1329779.2363845515</v>
      </c>
      <c r="E13" s="18">
        <v>1489867.4126781572</v>
      </c>
      <c r="F13" s="18">
        <v>1458428.9301090429</v>
      </c>
      <c r="G13" s="18">
        <v>1457047.3195883001</v>
      </c>
      <c r="H13" s="18">
        <v>1495248.3462495857</v>
      </c>
      <c r="I13" s="18">
        <v>1425270.2776110871</v>
      </c>
      <c r="J13" s="18">
        <v>1506524.5355570859</v>
      </c>
      <c r="K13" s="18">
        <v>1562352.2616149858</v>
      </c>
      <c r="L13" s="18">
        <v>1251344.3859350129</v>
      </c>
      <c r="M13" s="19">
        <f t="shared" si="0"/>
        <v>1303483.975462025</v>
      </c>
      <c r="N13" s="17">
        <v>17000000</v>
      </c>
      <c r="O13" s="18">
        <v>17935000</v>
      </c>
      <c r="P13" s="20">
        <v>18921425</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287703.03746104112</v>
      </c>
      <c r="C15" s="18">
        <v>330572.80214819673</v>
      </c>
      <c r="D15" s="18">
        <v>456576.8753426256</v>
      </c>
      <c r="E15" s="18">
        <v>351574.41578998999</v>
      </c>
      <c r="F15" s="18">
        <v>299664.89925688447</v>
      </c>
      <c r="G15" s="18">
        <v>727288.4884405178</v>
      </c>
      <c r="H15" s="18">
        <v>301533.98398011335</v>
      </c>
      <c r="I15" s="18">
        <v>226784.61669182111</v>
      </c>
      <c r="J15" s="18">
        <v>449174.85114613554</v>
      </c>
      <c r="K15" s="18">
        <v>505955.48570511781</v>
      </c>
      <c r="L15" s="18">
        <v>281204.00693428778</v>
      </c>
      <c r="M15" s="19">
        <f t="shared" si="0"/>
        <v>283102.53710326925</v>
      </c>
      <c r="N15" s="17">
        <v>4501136</v>
      </c>
      <c r="O15" s="18">
        <v>4748698.4800000004</v>
      </c>
      <c r="P15" s="20">
        <v>5009876.8964</v>
      </c>
      <c r="T15" s="15"/>
      <c r="U15" s="15"/>
      <c r="V15" s="15"/>
    </row>
    <row r="16" spans="1:22" x14ac:dyDescent="0.25">
      <c r="A16" s="16" t="str">
        <f>'[1]A4-FinPerf RE'!A16</f>
        <v>Licences and permits</v>
      </c>
      <c r="B16" s="17">
        <v>66399.582214961221</v>
      </c>
      <c r="C16" s="18">
        <v>64735.126878839219</v>
      </c>
      <c r="D16" s="18">
        <v>48022.72134501578</v>
      </c>
      <c r="E16" s="18">
        <v>111281.75882731112</v>
      </c>
      <c r="F16" s="18">
        <v>52139.548062395668</v>
      </c>
      <c r="G16" s="18">
        <v>23871.377486211222</v>
      </c>
      <c r="H16" s="18">
        <v>46583.978338168337</v>
      </c>
      <c r="I16" s="18">
        <v>55227.514284984558</v>
      </c>
      <c r="J16" s="18">
        <v>56911.355956136227</v>
      </c>
      <c r="K16" s="18">
        <v>69631.561212056564</v>
      </c>
      <c r="L16" s="18">
        <v>77653.349699705781</v>
      </c>
      <c r="M16" s="19">
        <f t="shared" si="0"/>
        <v>98542.125694214366</v>
      </c>
      <c r="N16" s="17">
        <v>771000</v>
      </c>
      <c r="O16" s="18">
        <v>813405</v>
      </c>
      <c r="P16" s="20">
        <v>858142.27500000002</v>
      </c>
      <c r="T16" s="15"/>
      <c r="U16" s="15"/>
      <c r="V16" s="15"/>
    </row>
    <row r="17" spans="1:23" x14ac:dyDescent="0.25">
      <c r="A17" s="16" t="str">
        <f>'[1]A4-FinPerf RE'!A17</f>
        <v>Agency services</v>
      </c>
      <c r="B17" s="17">
        <v>4073218.7080890113</v>
      </c>
      <c r="C17" s="18">
        <v>3652384.0023733</v>
      </c>
      <c r="D17" s="18">
        <v>5184236.6550859446</v>
      </c>
      <c r="E17" s="18">
        <v>4292865.1743961675</v>
      </c>
      <c r="F17" s="18">
        <v>3940330.7354686554</v>
      </c>
      <c r="G17" s="18">
        <v>3615624.2307404224</v>
      </c>
      <c r="H17" s="18">
        <v>4459147.0835357895</v>
      </c>
      <c r="I17" s="18">
        <v>4634955.2898115115</v>
      </c>
      <c r="J17" s="18">
        <v>3211270.6513693668</v>
      </c>
      <c r="K17" s="18">
        <v>4961791.7945267335</v>
      </c>
      <c r="L17" s="18">
        <v>4961791.7945267335</v>
      </c>
      <c r="M17" s="19">
        <f t="shared" si="0"/>
        <v>4176674.8800763637</v>
      </c>
      <c r="N17" s="17">
        <v>51164291</v>
      </c>
      <c r="O17" s="18">
        <v>53978327.005000003</v>
      </c>
      <c r="P17" s="20">
        <v>56947134.990275003</v>
      </c>
      <c r="T17" s="15"/>
      <c r="U17" s="15"/>
      <c r="V17" s="15"/>
    </row>
    <row r="18" spans="1:23" x14ac:dyDescent="0.25">
      <c r="A18" s="23" t="s">
        <v>16</v>
      </c>
      <c r="B18" s="17">
        <v>141171264.682502</v>
      </c>
      <c r="C18" s="18">
        <v>3011693.3359877202</v>
      </c>
      <c r="D18" s="18">
        <v>503892.59768970701</v>
      </c>
      <c r="E18" s="18">
        <v>1130775.4165171499</v>
      </c>
      <c r="F18" s="18">
        <v>112190577.72128899</v>
      </c>
      <c r="G18" s="18">
        <v>417372.89132690203</v>
      </c>
      <c r="H18" s="18">
        <v>282821.03918727097</v>
      </c>
      <c r="I18" s="18">
        <v>1072647.9797701801</v>
      </c>
      <c r="J18" s="18">
        <v>106829704.335731</v>
      </c>
      <c r="K18" s="18">
        <v>0</v>
      </c>
      <c r="L18" s="18">
        <v>0</v>
      </c>
      <c r="M18" s="19">
        <f t="shared" si="0"/>
        <v>-9.5367431640625E-7</v>
      </c>
      <c r="N18" s="17">
        <v>366610750</v>
      </c>
      <c r="O18" s="18">
        <v>398276150</v>
      </c>
      <c r="P18" s="20">
        <v>429446520</v>
      </c>
      <c r="T18" s="15"/>
      <c r="U18" s="15"/>
      <c r="V18" s="15"/>
    </row>
    <row r="19" spans="1:23" x14ac:dyDescent="0.25">
      <c r="A19" s="16" t="str">
        <f>'[1]A4-FinPerf RE'!A19</f>
        <v>Other revenue</v>
      </c>
      <c r="B19" s="17">
        <v>685116.36663219775</v>
      </c>
      <c r="C19" s="18">
        <v>225510.07378928669</v>
      </c>
      <c r="D19" s="18">
        <v>585034.61811035115</v>
      </c>
      <c r="E19" s="18">
        <v>499329.38786428224</v>
      </c>
      <c r="F19" s="18">
        <v>972374.86459919671</v>
      </c>
      <c r="G19" s="18">
        <v>234905.73511233556</v>
      </c>
      <c r="H19" s="18">
        <v>888280.55102134228</v>
      </c>
      <c r="I19" s="18">
        <v>530517.05917887995</v>
      </c>
      <c r="J19" s="18">
        <v>223375.71064701781</v>
      </c>
      <c r="K19" s="18">
        <v>232511.67759534225</v>
      </c>
      <c r="L19" s="18">
        <v>320716.46619813668</v>
      </c>
      <c r="M19" s="19">
        <f t="shared" si="0"/>
        <v>6837373.4892516304</v>
      </c>
      <c r="N19" s="17">
        <v>12235046</v>
      </c>
      <c r="O19" s="18">
        <v>12907973.530000001</v>
      </c>
      <c r="P19" s="20">
        <v>13617912.07415</v>
      </c>
      <c r="T19" s="15"/>
      <c r="U19" s="15"/>
      <c r="V19" s="15"/>
    </row>
    <row r="20" spans="1:23" x14ac:dyDescent="0.25">
      <c r="A20" s="24" t="s">
        <v>17</v>
      </c>
      <c r="B20" s="25">
        <f t="shared" ref="B20:P20" si="1">SUM(B5:B19)</f>
        <v>193264078.42820305</v>
      </c>
      <c r="C20" s="26">
        <f t="shared" si="1"/>
        <v>56448499.841203474</v>
      </c>
      <c r="D20" s="26">
        <f t="shared" si="1"/>
        <v>62474098.963338397</v>
      </c>
      <c r="E20" s="26">
        <f t="shared" si="1"/>
        <v>64626981.408918381</v>
      </c>
      <c r="F20" s="26">
        <f t="shared" si="1"/>
        <v>180076627.300143</v>
      </c>
      <c r="G20" s="26">
        <f t="shared" si="1"/>
        <v>55835309.816542864</v>
      </c>
      <c r="H20" s="26">
        <f t="shared" si="1"/>
        <v>59407383.767838411</v>
      </c>
      <c r="I20" s="26">
        <f t="shared" si="1"/>
        <v>60892213.240273818</v>
      </c>
      <c r="J20" s="26">
        <f t="shared" si="1"/>
        <v>163445896.91252422</v>
      </c>
      <c r="K20" s="26">
        <f t="shared" si="1"/>
        <v>56679148.706928305</v>
      </c>
      <c r="L20" s="26">
        <f t="shared" si="1"/>
        <v>66190747.679331452</v>
      </c>
      <c r="M20" s="27">
        <f t="shared" si="1"/>
        <v>67247336.934754625</v>
      </c>
      <c r="N20" s="25">
        <f t="shared" si="1"/>
        <v>1086588323</v>
      </c>
      <c r="O20" s="26">
        <f t="shared" si="1"/>
        <v>1157852489.5150001</v>
      </c>
      <c r="P20" s="28">
        <f t="shared" si="1"/>
        <v>1230799558.1883249</v>
      </c>
      <c r="Q20" s="15"/>
      <c r="R20" s="15"/>
      <c r="S20" s="15"/>
      <c r="T20" s="15"/>
      <c r="U20" s="15"/>
      <c r="V20" s="15"/>
      <c r="W20" s="15"/>
    </row>
    <row r="21" spans="1:23"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x14ac:dyDescent="0.25">
      <c r="A23" s="35" t="s">
        <v>19</v>
      </c>
      <c r="B23" s="17">
        <v>37769240.20807533</v>
      </c>
      <c r="C23" s="18">
        <v>0</v>
      </c>
      <c r="D23" s="18">
        <v>0</v>
      </c>
      <c r="E23" s="18">
        <v>0</v>
      </c>
      <c r="F23" s="18">
        <v>0</v>
      </c>
      <c r="G23" s="18">
        <v>29540809.073440664</v>
      </c>
      <c r="H23" s="18">
        <v>0</v>
      </c>
      <c r="I23" s="18">
        <v>0</v>
      </c>
      <c r="J23" s="18">
        <v>20389200.718484011</v>
      </c>
      <c r="K23" s="18">
        <v>0</v>
      </c>
      <c r="L23" s="18">
        <v>0</v>
      </c>
      <c r="M23" s="32">
        <f t="shared" ref="M23:M31" si="2">N23-SUM(B23:L23)</f>
        <v>0</v>
      </c>
      <c r="N23" s="17">
        <v>87699250</v>
      </c>
      <c r="O23" s="18">
        <v>89549850</v>
      </c>
      <c r="P23" s="20">
        <v>94667480</v>
      </c>
      <c r="Q23" s="15"/>
      <c r="R23" s="15"/>
      <c r="S23" s="15"/>
      <c r="T23" s="15"/>
      <c r="U23" s="15"/>
      <c r="V23" s="15"/>
      <c r="W23" s="15"/>
    </row>
    <row r="24" spans="1:23" ht="76.5"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v>0</v>
      </c>
      <c r="C24" s="18">
        <v>0</v>
      </c>
      <c r="D24" s="18">
        <v>0</v>
      </c>
      <c r="E24" s="18">
        <v>0</v>
      </c>
      <c r="F24" s="18">
        <v>0</v>
      </c>
      <c r="G24" s="18">
        <v>0</v>
      </c>
      <c r="H24" s="18">
        <v>0</v>
      </c>
      <c r="I24" s="18">
        <v>0</v>
      </c>
      <c r="J24" s="18">
        <v>0</v>
      </c>
      <c r="K24" s="18">
        <v>0</v>
      </c>
      <c r="L24" s="18">
        <v>0</v>
      </c>
      <c r="M24" s="32">
        <f t="shared" si="2"/>
        <v>0</v>
      </c>
      <c r="N24" s="17"/>
      <c r="O24" s="18"/>
      <c r="P24" s="20"/>
      <c r="Q24" s="15"/>
      <c r="R24" s="15"/>
      <c r="S24" s="15"/>
      <c r="T24" s="15"/>
      <c r="U24" s="15"/>
      <c r="V24" s="15"/>
      <c r="W24" s="15"/>
    </row>
    <row r="25" spans="1:23" x14ac:dyDescent="0.25">
      <c r="A25" s="37" t="str">
        <f>'[1]A7-CFlow'!A21</f>
        <v>Proceeds on disposal of PPE</v>
      </c>
      <c r="B25" s="17">
        <v>0</v>
      </c>
      <c r="C25" s="18">
        <v>0</v>
      </c>
      <c r="D25" s="18">
        <v>0</v>
      </c>
      <c r="E25" s="18">
        <v>0</v>
      </c>
      <c r="F25" s="18">
        <v>0</v>
      </c>
      <c r="G25" s="18">
        <v>0</v>
      </c>
      <c r="H25" s="18">
        <v>0</v>
      </c>
      <c r="I25" s="18">
        <v>0</v>
      </c>
      <c r="J25" s="18">
        <v>0</v>
      </c>
      <c r="K25" s="18">
        <v>0</v>
      </c>
      <c r="L25" s="18">
        <v>0</v>
      </c>
      <c r="M25" s="32">
        <f t="shared" si="2"/>
        <v>2500000</v>
      </c>
      <c r="N25" s="17">
        <v>2500000</v>
      </c>
      <c r="O25" s="18">
        <v>2637500</v>
      </c>
      <c r="P25" s="20">
        <v>2782562.5</v>
      </c>
      <c r="Q25" s="15"/>
      <c r="R25" s="15"/>
      <c r="S25" s="15"/>
      <c r="T25" s="15"/>
      <c r="U25" s="15"/>
      <c r="V25" s="15"/>
      <c r="W25" s="15"/>
    </row>
    <row r="26" spans="1:23" x14ac:dyDescent="0.25">
      <c r="A26" s="37" t="str">
        <f>'[1]A7-CFlow'!A31</f>
        <v>Short term loans</v>
      </c>
      <c r="B26" s="17">
        <v>0</v>
      </c>
      <c r="C26" s="18">
        <v>0</v>
      </c>
      <c r="D26" s="18">
        <v>0</v>
      </c>
      <c r="E26" s="18">
        <v>0</v>
      </c>
      <c r="F26" s="18">
        <v>0</v>
      </c>
      <c r="G26" s="18">
        <v>0</v>
      </c>
      <c r="H26" s="18">
        <v>0</v>
      </c>
      <c r="I26" s="18">
        <v>0</v>
      </c>
      <c r="J26" s="18">
        <v>0</v>
      </c>
      <c r="K26" s="18">
        <v>0</v>
      </c>
      <c r="L26" s="18">
        <v>0</v>
      </c>
      <c r="M26" s="32">
        <f t="shared" si="2"/>
        <v>0</v>
      </c>
      <c r="N26" s="17"/>
      <c r="O26" s="18"/>
      <c r="P26" s="20"/>
      <c r="Q26" s="15"/>
      <c r="R26" s="15"/>
      <c r="S26" s="15"/>
      <c r="T26" s="15"/>
      <c r="U26" s="15"/>
      <c r="V26" s="15"/>
      <c r="W26" s="15"/>
    </row>
    <row r="27" spans="1:23" x14ac:dyDescent="0.25">
      <c r="A27" s="37" t="str">
        <f>'[1]A7-CFlow'!A32</f>
        <v>Borrowing long term/refinancing</v>
      </c>
      <c r="B27" s="17">
        <v>0</v>
      </c>
      <c r="C27" s="18">
        <v>0</v>
      </c>
      <c r="D27" s="18">
        <v>0</v>
      </c>
      <c r="E27" s="18">
        <v>0</v>
      </c>
      <c r="F27" s="18">
        <v>0</v>
      </c>
      <c r="G27" s="18">
        <v>90000000</v>
      </c>
      <c r="H27" s="18">
        <v>0</v>
      </c>
      <c r="I27" s="18">
        <v>0</v>
      </c>
      <c r="J27" s="18">
        <v>0</v>
      </c>
      <c r="K27" s="18">
        <v>0</v>
      </c>
      <c r="L27" s="18">
        <v>0</v>
      </c>
      <c r="M27" s="32">
        <f t="shared" si="2"/>
        <v>0</v>
      </c>
      <c r="N27" s="17">
        <v>90000000</v>
      </c>
      <c r="O27" s="18">
        <v>30000000</v>
      </c>
      <c r="P27" s="20">
        <v>30000000</v>
      </c>
      <c r="Q27" s="15"/>
      <c r="R27" s="15"/>
      <c r="S27" s="15"/>
      <c r="T27" s="15"/>
      <c r="U27" s="15"/>
      <c r="V27" s="15"/>
      <c r="W27" s="15"/>
    </row>
    <row r="28" spans="1:23" x14ac:dyDescent="0.25">
      <c r="A28" s="37"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2">
        <f t="shared" si="2"/>
        <v>235893.82959830598</v>
      </c>
      <c r="N28" s="17">
        <v>1100000</v>
      </c>
      <c r="O28" s="18">
        <v>1100000</v>
      </c>
      <c r="P28" s="20">
        <v>1100000</v>
      </c>
      <c r="Q28" s="15"/>
      <c r="R28" s="15"/>
      <c r="S28" s="15"/>
      <c r="T28" s="15"/>
      <c r="U28" s="15"/>
      <c r="V28" s="15"/>
      <c r="W28" s="15"/>
    </row>
    <row r="29" spans="1:23" x14ac:dyDescent="0.25">
      <c r="A29" s="37" t="str">
        <f>'[1]A7-CFlow'!A22</f>
        <v>Decrease (Increase) in non-current debtors</v>
      </c>
      <c r="B29" s="17">
        <v>0</v>
      </c>
      <c r="C29" s="18">
        <v>0</v>
      </c>
      <c r="D29" s="18">
        <v>0</v>
      </c>
      <c r="E29" s="18">
        <v>0</v>
      </c>
      <c r="F29" s="18">
        <v>0</v>
      </c>
      <c r="G29" s="18">
        <v>0</v>
      </c>
      <c r="H29" s="18">
        <v>0</v>
      </c>
      <c r="I29" s="18">
        <v>0</v>
      </c>
      <c r="J29" s="18">
        <v>0</v>
      </c>
      <c r="K29" s="18">
        <v>0</v>
      </c>
      <c r="L29" s="18">
        <v>0</v>
      </c>
      <c r="M29" s="32">
        <f t="shared" si="2"/>
        <v>0</v>
      </c>
      <c r="N29" s="17"/>
      <c r="O29" s="18"/>
      <c r="P29" s="20"/>
      <c r="Q29" s="15"/>
      <c r="R29" s="15"/>
      <c r="S29" s="15"/>
      <c r="T29" s="15"/>
      <c r="U29" s="15"/>
      <c r="V29" s="15"/>
      <c r="W29" s="15"/>
    </row>
    <row r="30" spans="1:23" x14ac:dyDescent="0.25">
      <c r="A30" s="37" t="str">
        <f>'[1]A7-CFlow'!A23</f>
        <v>Decrease (increase) other non-current receivables</v>
      </c>
      <c r="B30" s="17">
        <v>0</v>
      </c>
      <c r="C30" s="18">
        <v>0</v>
      </c>
      <c r="D30" s="18">
        <v>0</v>
      </c>
      <c r="E30" s="18">
        <v>0</v>
      </c>
      <c r="F30" s="18">
        <v>0</v>
      </c>
      <c r="G30" s="18">
        <v>0</v>
      </c>
      <c r="H30" s="18">
        <v>0</v>
      </c>
      <c r="I30" s="18">
        <v>0</v>
      </c>
      <c r="J30" s="18">
        <v>0</v>
      </c>
      <c r="K30" s="18">
        <v>0</v>
      </c>
      <c r="L30" s="18">
        <v>0</v>
      </c>
      <c r="M30" s="32">
        <f t="shared" si="2"/>
        <v>0</v>
      </c>
      <c r="N30" s="17"/>
      <c r="O30" s="18"/>
      <c r="P30" s="20"/>
      <c r="Q30" s="15"/>
      <c r="R30" s="15"/>
      <c r="S30" s="15"/>
      <c r="T30" s="15"/>
      <c r="U30" s="15"/>
      <c r="V30" s="15"/>
      <c r="W30" s="15"/>
    </row>
    <row r="31" spans="1:23" x14ac:dyDescent="0.25">
      <c r="A31" s="37" t="str">
        <f>'[1]A7-CFlow'!A24</f>
        <v>Decrease (increase) in non-current investments</v>
      </c>
      <c r="B31" s="17">
        <v>-855619</v>
      </c>
      <c r="C31" s="18">
        <v>0</v>
      </c>
      <c r="D31" s="18">
        <v>0</v>
      </c>
      <c r="E31" s="18">
        <v>0</v>
      </c>
      <c r="F31" s="18">
        <v>0</v>
      </c>
      <c r="G31" s="18">
        <v>0</v>
      </c>
      <c r="H31" s="18">
        <v>0</v>
      </c>
      <c r="I31" s="18">
        <v>0</v>
      </c>
      <c r="J31" s="18">
        <v>0</v>
      </c>
      <c r="K31" s="18">
        <v>0</v>
      </c>
      <c r="L31" s="18">
        <v>0</v>
      </c>
      <c r="M31" s="32">
        <f t="shared" si="2"/>
        <v>-2657360.5535000004</v>
      </c>
      <c r="N31" s="17">
        <v>-3512979.5535000004</v>
      </c>
      <c r="O31" s="18">
        <v>-3981653.311005</v>
      </c>
      <c r="P31" s="20">
        <v>-4515966.2780941501</v>
      </c>
      <c r="Q31" s="15"/>
      <c r="R31" s="15"/>
      <c r="S31" s="15"/>
      <c r="T31" s="15"/>
      <c r="U31" s="15"/>
      <c r="V31" s="15"/>
      <c r="W31" s="15"/>
    </row>
    <row r="32" spans="1:23" x14ac:dyDescent="0.25">
      <c r="A32" s="38" t="s">
        <v>20</v>
      </c>
      <c r="B32" s="39">
        <f t="shared" ref="B32:P32" si="3">SUM(B20:B31)</f>
        <v>230263456.23544756</v>
      </c>
      <c r="C32" s="40">
        <f t="shared" si="3"/>
        <v>56516753.351135604</v>
      </c>
      <c r="D32" s="40">
        <f t="shared" si="3"/>
        <v>62603194.919076927</v>
      </c>
      <c r="E32" s="40">
        <f t="shared" si="3"/>
        <v>64728413.945570081</v>
      </c>
      <c r="F32" s="40">
        <f t="shared" si="3"/>
        <v>180122784.22717491</v>
      </c>
      <c r="G32" s="40">
        <f t="shared" si="3"/>
        <v>175437439.46895933</v>
      </c>
      <c r="H32" s="40">
        <f t="shared" si="3"/>
        <v>59534977.019330248</v>
      </c>
      <c r="I32" s="40">
        <f t="shared" si="3"/>
        <v>60953755.809649698</v>
      </c>
      <c r="J32" s="40">
        <f t="shared" si="3"/>
        <v>183893737.24899846</v>
      </c>
      <c r="K32" s="40">
        <f t="shared" si="3"/>
        <v>56744499.265474781</v>
      </c>
      <c r="L32" s="40">
        <f t="shared" si="3"/>
        <v>66249711.744829483</v>
      </c>
      <c r="M32" s="41">
        <f t="shared" si="3"/>
        <v>67325870.210852936</v>
      </c>
      <c r="N32" s="39">
        <f t="shared" si="3"/>
        <v>1264374593.4465001</v>
      </c>
      <c r="O32" s="40">
        <f t="shared" si="3"/>
        <v>1277158186.203995</v>
      </c>
      <c r="P32" s="42">
        <f t="shared" si="3"/>
        <v>1354833634.4102309</v>
      </c>
      <c r="Q32" s="15"/>
      <c r="R32" s="15"/>
      <c r="S32" s="15"/>
      <c r="T32" s="15"/>
      <c r="U32" s="15"/>
      <c r="V32" s="15"/>
      <c r="W32" s="15"/>
    </row>
    <row r="33" spans="1:23"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29603139.422903556</v>
      </c>
      <c r="C35" s="18">
        <v>26013877.615802765</v>
      </c>
      <c r="D35" s="18">
        <v>27637384.979853716</v>
      </c>
      <c r="E35" s="18">
        <v>30315896.216540031</v>
      </c>
      <c r="F35" s="18">
        <v>27027675.372824159</v>
      </c>
      <c r="G35" s="18">
        <v>28342343.510562845</v>
      </c>
      <c r="H35" s="18">
        <v>32253066.274529304</v>
      </c>
      <c r="I35" s="18">
        <v>28275658.169179495</v>
      </c>
      <c r="J35" s="18">
        <v>27432056.148367774</v>
      </c>
      <c r="K35" s="18">
        <v>28211982.294371348</v>
      </c>
      <c r="L35" s="18">
        <v>27467755.078834221</v>
      </c>
      <c r="M35" s="32">
        <f t="shared" ref="M35:M44" si="4">N35-SUM(B35:L35)</f>
        <v>35070249.916230798</v>
      </c>
      <c r="N35" s="17">
        <f>343017085+4634000</f>
        <v>347651085</v>
      </c>
      <c r="O35" s="18">
        <f>361883024.675+4932000</f>
        <v>366815024.67500001</v>
      </c>
      <c r="P35" s="20">
        <f>381786591.032125+5254000</f>
        <v>387040591.032125</v>
      </c>
      <c r="Q35" s="15"/>
      <c r="R35" s="15"/>
      <c r="S35" s="15"/>
      <c r="T35" s="15"/>
      <c r="U35" s="15"/>
      <c r="V35" s="15"/>
      <c r="W35" s="15"/>
    </row>
    <row r="36" spans="1:23" x14ac:dyDescent="0.25">
      <c r="A36" s="37" t="s">
        <v>23</v>
      </c>
      <c r="B36" s="17">
        <v>2229775.0488756038</v>
      </c>
      <c r="C36" s="18">
        <v>2228754.4016172239</v>
      </c>
      <c r="D36" s="18">
        <v>2238157.3217804651</v>
      </c>
      <c r="E36" s="18">
        <v>2226765.8732068799</v>
      </c>
      <c r="F36" s="18">
        <v>2225822.1137035629</v>
      </c>
      <c r="G36" s="18">
        <v>2228359.4096206278</v>
      </c>
      <c r="H36" s="18">
        <v>2225526.6235076361</v>
      </c>
      <c r="I36" s="18">
        <v>2390007.8351592994</v>
      </c>
      <c r="J36" s="18">
        <v>2353266.5826243483</v>
      </c>
      <c r="K36" s="18">
        <v>2338174.7829936384</v>
      </c>
      <c r="L36" s="18">
        <v>2375954.5010814914</v>
      </c>
      <c r="M36" s="32">
        <f t="shared" si="4"/>
        <v>2364587.5058292225</v>
      </c>
      <c r="N36" s="17">
        <v>27425152</v>
      </c>
      <c r="O36" s="18">
        <v>28933535.360000003</v>
      </c>
      <c r="P36" s="20">
        <v>30524879.8048</v>
      </c>
      <c r="Q36" s="15"/>
      <c r="R36" s="15"/>
      <c r="S36" s="15"/>
      <c r="T36" s="15"/>
      <c r="U36" s="15"/>
      <c r="V36" s="15"/>
      <c r="W36" s="15"/>
    </row>
    <row r="37" spans="1:23" x14ac:dyDescent="0.25">
      <c r="A37" s="37" t="s">
        <v>24</v>
      </c>
      <c r="B37" s="17">
        <v>494067.2329281675</v>
      </c>
      <c r="C37" s="18">
        <v>492730.41011270141</v>
      </c>
      <c r="D37" s="18">
        <v>1331052.2368368851</v>
      </c>
      <c r="E37" s="18">
        <v>0</v>
      </c>
      <c r="F37" s="18">
        <v>962768.3127192175</v>
      </c>
      <c r="G37" s="18">
        <v>10229251.002697859</v>
      </c>
      <c r="H37" s="18">
        <v>0</v>
      </c>
      <c r="I37" s="18">
        <v>0</v>
      </c>
      <c r="J37" s="18">
        <v>0</v>
      </c>
      <c r="K37" s="18">
        <v>0</v>
      </c>
      <c r="L37" s="18">
        <v>0</v>
      </c>
      <c r="M37" s="32">
        <f t="shared" si="4"/>
        <v>10938687.804705169</v>
      </c>
      <c r="N37" s="17">
        <v>24448557</v>
      </c>
      <c r="O37" s="18">
        <v>25903227.635000002</v>
      </c>
      <c r="P37" s="20">
        <v>27437905.154925</v>
      </c>
      <c r="Q37" s="15"/>
      <c r="R37" s="15"/>
      <c r="S37" s="15"/>
      <c r="T37" s="15"/>
      <c r="U37" s="15"/>
      <c r="V37" s="15"/>
      <c r="W37" s="15"/>
    </row>
    <row r="38" spans="1:23" x14ac:dyDescent="0.25">
      <c r="A38" s="37" t="s">
        <v>25</v>
      </c>
      <c r="B38" s="17">
        <v>43448809.855577029</v>
      </c>
      <c r="C38" s="18">
        <v>42026171.126632765</v>
      </c>
      <c r="D38" s="18">
        <v>38753066.730333969</v>
      </c>
      <c r="E38" s="18">
        <v>25021840.03910812</v>
      </c>
      <c r="F38" s="18">
        <v>27232107.369042885</v>
      </c>
      <c r="G38" s="18">
        <v>26354215.161175542</v>
      </c>
      <c r="H38" s="18">
        <v>21890274.230745934</v>
      </c>
      <c r="I38" s="18">
        <v>24072304.547855221</v>
      </c>
      <c r="J38" s="18">
        <v>23866633.654606763</v>
      </c>
      <c r="K38" s="18">
        <v>23164748.606075179</v>
      </c>
      <c r="L38" s="18">
        <v>20119585.700133562</v>
      </c>
      <c r="M38" s="32">
        <f t="shared" si="4"/>
        <v>24050242.978713036</v>
      </c>
      <c r="N38" s="17">
        <v>340000000</v>
      </c>
      <c r="O38" s="18">
        <v>358700000</v>
      </c>
      <c r="P38" s="20">
        <v>378428500</v>
      </c>
      <c r="Q38" s="15"/>
      <c r="R38" s="15"/>
      <c r="S38" s="15"/>
      <c r="T38" s="15"/>
      <c r="U38" s="15"/>
      <c r="V38" s="15"/>
      <c r="W38" s="15"/>
    </row>
    <row r="39" spans="1:23" x14ac:dyDescent="0.25">
      <c r="A39" s="37" t="s">
        <v>26</v>
      </c>
      <c r="B39" s="17"/>
      <c r="C39" s="18"/>
      <c r="D39" s="18"/>
      <c r="E39" s="18"/>
      <c r="F39" s="18"/>
      <c r="G39" s="18"/>
      <c r="H39" s="18"/>
      <c r="I39" s="18"/>
      <c r="J39" s="18"/>
      <c r="K39" s="18"/>
      <c r="L39" s="18"/>
      <c r="M39" s="32">
        <f t="shared" si="4"/>
        <v>0</v>
      </c>
      <c r="N39" s="17"/>
      <c r="O39" s="18"/>
      <c r="P39" s="20"/>
      <c r="Q39" s="46"/>
      <c r="R39" s="15"/>
      <c r="S39" s="15"/>
      <c r="T39" s="15"/>
      <c r="U39" s="15"/>
      <c r="V39" s="15"/>
      <c r="W39" s="15"/>
    </row>
    <row r="40" spans="1:23" x14ac:dyDescent="0.25">
      <c r="A40" s="37" t="s">
        <v>27</v>
      </c>
      <c r="B40" s="17">
        <v>1868592.474414234</v>
      </c>
      <c r="C40" s="18">
        <v>4571933.3429519869</v>
      </c>
      <c r="D40" s="18">
        <v>5126816.4738583639</v>
      </c>
      <c r="E40" s="18">
        <v>5376370.5255955011</v>
      </c>
      <c r="F40" s="18">
        <v>3739101.2289787643</v>
      </c>
      <c r="G40" s="18">
        <v>862976.93437758589</v>
      </c>
      <c r="H40" s="18">
        <v>5198728.3649737332</v>
      </c>
      <c r="I40" s="18">
        <v>1923713.2126022312</v>
      </c>
      <c r="J40" s="18">
        <v>8891371.8750158101</v>
      </c>
      <c r="K40" s="18">
        <v>2471640.7039625663</v>
      </c>
      <c r="L40" s="18">
        <v>2744722.652108876</v>
      </c>
      <c r="M40" s="32">
        <f t="shared" si="4"/>
        <v>8404156.8311603516</v>
      </c>
      <c r="N40" s="17">
        <v>51180124.620000005</v>
      </c>
      <c r="O40" s="18">
        <v>53995031.474099964</v>
      </c>
      <c r="P40" s="20">
        <v>56964758.205175549</v>
      </c>
      <c r="Q40" s="46"/>
      <c r="R40" s="15"/>
      <c r="S40" s="15"/>
      <c r="T40" s="15"/>
      <c r="U40" s="15"/>
      <c r="V40" s="15"/>
      <c r="W40" s="15"/>
    </row>
    <row r="41" spans="1:23" x14ac:dyDescent="0.25">
      <c r="A41" s="37" t="s">
        <v>28</v>
      </c>
      <c r="B41" s="17">
        <v>7009061.9500708077</v>
      </c>
      <c r="C41" s="18">
        <v>2775853.4532400859</v>
      </c>
      <c r="D41" s="18">
        <v>5128388.9395589782</v>
      </c>
      <c r="E41" s="18">
        <v>4132239.7620306201</v>
      </c>
      <c r="F41" s="18">
        <v>3936866.5814582841</v>
      </c>
      <c r="G41" s="18">
        <v>8988977.6417078916</v>
      </c>
      <c r="H41" s="18">
        <v>4021409.5793039319</v>
      </c>
      <c r="I41" s="18">
        <v>1909989.4976670297</v>
      </c>
      <c r="J41" s="18">
        <v>6038936.9054020625</v>
      </c>
      <c r="K41" s="18">
        <v>1649363.8008204186</v>
      </c>
      <c r="L41" s="18">
        <v>5596579.4974230956</v>
      </c>
      <c r="M41" s="32">
        <f t="shared" si="4"/>
        <v>3381704.3913167864</v>
      </c>
      <c r="N41" s="17">
        <f>54066372+503000</f>
        <v>54569372</v>
      </c>
      <c r="O41" s="18">
        <f>57040022.46+527000</f>
        <v>57567022.460000001</v>
      </c>
      <c r="P41" s="20">
        <f>60177223.6953+559000</f>
        <v>60736223.695299998</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143495.93758261128</v>
      </c>
      <c r="C43" s="18">
        <v>1282060.8074004978</v>
      </c>
      <c r="D43" s="18">
        <v>4954926.3799625207</v>
      </c>
      <c r="E43" s="18">
        <v>1630151.4758655967</v>
      </c>
      <c r="F43" s="18">
        <v>1678431.4984351625</v>
      </c>
      <c r="G43" s="18">
        <v>2978882.0478376048</v>
      </c>
      <c r="H43" s="18">
        <v>717080.44447840459</v>
      </c>
      <c r="I43" s="18">
        <v>2904155.3381553148</v>
      </c>
      <c r="J43" s="18">
        <v>905006.99962622672</v>
      </c>
      <c r="K43" s="18">
        <v>3174152.389104343</v>
      </c>
      <c r="L43" s="18">
        <v>5148274.1936949231</v>
      </c>
      <c r="M43" s="32">
        <f t="shared" si="4"/>
        <v>5288055.4878567941</v>
      </c>
      <c r="N43" s="17">
        <v>30804673</v>
      </c>
      <c r="O43" s="18">
        <v>25695545.015000001</v>
      </c>
      <c r="P43" s="20">
        <v>22613584.990825001</v>
      </c>
      <c r="Q43" s="15"/>
      <c r="R43" s="15"/>
      <c r="S43" s="15"/>
      <c r="T43" s="15"/>
      <c r="U43" s="15"/>
      <c r="V43" s="15"/>
      <c r="W43" s="15"/>
    </row>
    <row r="44" spans="1:23" x14ac:dyDescent="0.25">
      <c r="A44" s="37" t="s">
        <v>31</v>
      </c>
      <c r="B44" s="17">
        <v>28648548.402444776</v>
      </c>
      <c r="C44" s="18">
        <v>8791087.5352017749</v>
      </c>
      <c r="D44" s="18">
        <v>14056478.974417195</v>
      </c>
      <c r="E44" s="18">
        <v>16977016.988151252</v>
      </c>
      <c r="F44" s="18">
        <v>12947596.364316128</v>
      </c>
      <c r="G44" s="18">
        <v>16943695.498899993</v>
      </c>
      <c r="H44" s="18">
        <v>11284874.509506661</v>
      </c>
      <c r="I44" s="18">
        <v>12056186.357651759</v>
      </c>
      <c r="J44" s="18">
        <v>9314122.7478763461</v>
      </c>
      <c r="K44" s="18">
        <v>28845568.536531892</v>
      </c>
      <c r="L44" s="18">
        <v>11490027.725897454</v>
      </c>
      <c r="M44" s="32">
        <f t="shared" si="4"/>
        <v>11335457.979104757</v>
      </c>
      <c r="N44" s="17">
        <f>187827661.62-4634000-503000</f>
        <v>182690661.62</v>
      </c>
      <c r="O44" s="18">
        <f>218524147.0091-4932000-527000</f>
        <v>213065147.00909999</v>
      </c>
      <c r="P44" s="20">
        <f>231554746.0946-5254000-559000+1200000</f>
        <v>226941746.09459999</v>
      </c>
      <c r="Q44" s="15"/>
      <c r="R44" s="15"/>
      <c r="S44" s="15"/>
      <c r="T44" s="15"/>
      <c r="U44" s="15"/>
      <c r="V44" s="15"/>
      <c r="W44" s="15"/>
    </row>
    <row r="45" spans="1:23" x14ac:dyDescent="0.25">
      <c r="A45" s="24" t="s">
        <v>21</v>
      </c>
      <c r="B45" s="25">
        <f t="shared" ref="B45:O45" si="5">SUM(B35:B44)</f>
        <v>113445490.3247968</v>
      </c>
      <c r="C45" s="26">
        <f t="shared" si="5"/>
        <v>88182468.692959785</v>
      </c>
      <c r="D45" s="26">
        <f t="shared" si="5"/>
        <v>99226272.03660208</v>
      </c>
      <c r="E45" s="26">
        <f t="shared" si="5"/>
        <v>85680280.880498007</v>
      </c>
      <c r="F45" s="26">
        <f t="shared" si="5"/>
        <v>79750368.841478169</v>
      </c>
      <c r="G45" s="26">
        <f t="shared" si="5"/>
        <v>96928701.206879959</v>
      </c>
      <c r="H45" s="26">
        <f t="shared" si="5"/>
        <v>77590960.027045608</v>
      </c>
      <c r="I45" s="26">
        <f t="shared" si="5"/>
        <v>73532014.958270341</v>
      </c>
      <c r="J45" s="26">
        <f t="shared" si="5"/>
        <v>78801394.913519323</v>
      </c>
      <c r="K45" s="26">
        <f t="shared" si="5"/>
        <v>89855631.113859385</v>
      </c>
      <c r="L45" s="26">
        <f t="shared" si="5"/>
        <v>74942899.349173635</v>
      </c>
      <c r="M45" s="27">
        <f t="shared" si="5"/>
        <v>100833142.89491691</v>
      </c>
      <c r="N45" s="25">
        <f>SUM(N35:N44)</f>
        <v>1058769625.24</v>
      </c>
      <c r="O45" s="26">
        <f t="shared" si="5"/>
        <v>1130674533.6282001</v>
      </c>
      <c r="P45" s="28">
        <f>SUM(P35:P44)</f>
        <v>1190688188.9777505</v>
      </c>
      <c r="Q45" s="15"/>
      <c r="R45" s="15"/>
      <c r="S45" s="15"/>
      <c r="T45" s="15"/>
      <c r="U45" s="15"/>
      <c r="V45" s="15"/>
      <c r="W45" s="15"/>
    </row>
    <row r="46" spans="1:23"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4617030.8723948207</v>
      </c>
      <c r="C48" s="18">
        <v>4456318.7597743496</v>
      </c>
      <c r="D48" s="18">
        <v>9020666.4431378115</v>
      </c>
      <c r="E48" s="18">
        <v>7209460.6216039946</v>
      </c>
      <c r="F48" s="18">
        <v>9825872.7909474801</v>
      </c>
      <c r="G48" s="18">
        <v>23818038.356052268</v>
      </c>
      <c r="H48" s="18">
        <v>13844635.080664033</v>
      </c>
      <c r="I48" s="18">
        <v>26666177.566802278</v>
      </c>
      <c r="J48" s="18">
        <v>25775620.055900447</v>
      </c>
      <c r="K48" s="18">
        <v>19037006.04589317</v>
      </c>
      <c r="L48" s="18">
        <v>17508646.945500959</v>
      </c>
      <c r="M48" s="32">
        <f>N48-SUM(B48:L48)</f>
        <v>33654776.461328387</v>
      </c>
      <c r="N48" s="17">
        <v>195434250</v>
      </c>
      <c r="O48" s="18">
        <v>134784850</v>
      </c>
      <c r="P48" s="20">
        <f>141102500-1200000</f>
        <v>139902500</v>
      </c>
      <c r="Q48" s="15"/>
      <c r="R48" s="15"/>
      <c r="S48" s="15"/>
      <c r="T48" s="15"/>
      <c r="U48" s="15"/>
      <c r="V48" s="15"/>
      <c r="W48" s="15"/>
    </row>
    <row r="49" spans="1:23" x14ac:dyDescent="0.25">
      <c r="A49" s="37" t="str">
        <f>'[1]A7-CFlow'!A35</f>
        <v>Repayment of borrowing</v>
      </c>
      <c r="B49" s="17">
        <v>228490.26194747191</v>
      </c>
      <c r="C49" s="18">
        <v>227911.69621726326</v>
      </c>
      <c r="D49" s="18">
        <v>52596.061816405978</v>
      </c>
      <c r="E49" s="18">
        <v>750487.55858545844</v>
      </c>
      <c r="F49" s="18">
        <v>233257.19954632514</v>
      </c>
      <c r="G49" s="18">
        <v>3478687.8318581851</v>
      </c>
      <c r="H49" s="18">
        <v>211048.07716387531</v>
      </c>
      <c r="I49" s="18">
        <v>191646.57056895344</v>
      </c>
      <c r="J49" s="18">
        <v>14666.421718901423</v>
      </c>
      <c r="K49" s="18">
        <v>742795.55094349198</v>
      </c>
      <c r="L49" s="18">
        <v>1471470.6008232012</v>
      </c>
      <c r="M49" s="32">
        <f>N49-SUM(B49:L49)</f>
        <v>3453786.0988104781</v>
      </c>
      <c r="N49" s="17">
        <v>11056843.930000011</v>
      </c>
      <c r="O49" s="18">
        <v>10783836.87847502</v>
      </c>
      <c r="P49" s="20">
        <v>14414838.600049101</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118291011.45913908</v>
      </c>
      <c r="C51" s="40">
        <f t="shared" ref="C51:P51" si="6">SUM(C45:C50)</f>
        <v>92866699.148951411</v>
      </c>
      <c r="D51" s="40">
        <f t="shared" si="6"/>
        <v>108299534.5415563</v>
      </c>
      <c r="E51" s="40">
        <f t="shared" si="6"/>
        <v>93640229.060687467</v>
      </c>
      <c r="F51" s="40">
        <f t="shared" si="6"/>
        <v>89809498.831971973</v>
      </c>
      <c r="G51" s="40">
        <f t="shared" si="6"/>
        <v>124225427.39479041</v>
      </c>
      <c r="H51" s="40">
        <f t="shared" si="6"/>
        <v>91646643.184873521</v>
      </c>
      <c r="I51" s="40">
        <f t="shared" si="6"/>
        <v>100389839.09564157</v>
      </c>
      <c r="J51" s="40">
        <f t="shared" si="6"/>
        <v>104591681.39113867</v>
      </c>
      <c r="K51" s="40">
        <f t="shared" si="6"/>
        <v>109635432.71069604</v>
      </c>
      <c r="L51" s="40">
        <f t="shared" si="6"/>
        <v>93923016.895497799</v>
      </c>
      <c r="M51" s="41">
        <f t="shared" si="6"/>
        <v>137941705.45505574</v>
      </c>
      <c r="N51" s="39">
        <f t="shared" si="6"/>
        <v>1265260719.1700001</v>
      </c>
      <c r="O51" s="40">
        <f t="shared" si="6"/>
        <v>1276243220.506675</v>
      </c>
      <c r="P51" s="42">
        <f t="shared" si="6"/>
        <v>1345005527.5777996</v>
      </c>
      <c r="Q51" s="15"/>
      <c r="R51" s="47" t="s">
        <v>34</v>
      </c>
      <c r="S51" s="15"/>
      <c r="T51" s="15"/>
      <c r="U51" s="15"/>
      <c r="V51" s="15"/>
      <c r="W51" s="15"/>
    </row>
    <row r="52" spans="1:23"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111972444.77630848</v>
      </c>
      <c r="C53" s="50">
        <f t="shared" si="7"/>
        <v>-36349945.797815807</v>
      </c>
      <c r="D53" s="50">
        <f t="shared" si="7"/>
        <v>-45696339.622479372</v>
      </c>
      <c r="E53" s="50">
        <f t="shared" si="7"/>
        <v>-28911815.115117386</v>
      </c>
      <c r="F53" s="50">
        <f t="shared" si="7"/>
        <v>90313285.395202935</v>
      </c>
      <c r="G53" s="50">
        <f t="shared" si="7"/>
        <v>51212012.074168921</v>
      </c>
      <c r="H53" s="50">
        <f t="shared" si="7"/>
        <v>-32111666.165543273</v>
      </c>
      <c r="I53" s="50">
        <f t="shared" si="7"/>
        <v>-39436083.28599187</v>
      </c>
      <c r="J53" s="50">
        <f t="shared" si="7"/>
        <v>79302055.85785979</v>
      </c>
      <c r="K53" s="50">
        <f t="shared" si="7"/>
        <v>-52890933.44522126</v>
      </c>
      <c r="L53" s="50">
        <f t="shared" si="7"/>
        <v>-27673305.150668316</v>
      </c>
      <c r="M53" s="51">
        <f t="shared" si="7"/>
        <v>-70615835.244202808</v>
      </c>
      <c r="N53" s="49">
        <f t="shared" si="7"/>
        <v>-886125.72350001335</v>
      </c>
      <c r="O53" s="50">
        <f t="shared" si="7"/>
        <v>914965.69731998444</v>
      </c>
      <c r="P53" s="52">
        <f t="shared" si="7"/>
        <v>9828106.8324313164</v>
      </c>
      <c r="Q53" s="53"/>
      <c r="R53" s="54"/>
      <c r="S53" s="55"/>
      <c r="T53" s="56"/>
      <c r="U53" s="56"/>
      <c r="V53" s="56"/>
      <c r="W53" s="56"/>
    </row>
    <row r="54" spans="1:23" x14ac:dyDescent="0.25">
      <c r="A54" s="29" t="s">
        <v>36</v>
      </c>
      <c r="B54" s="58">
        <v>12342983</v>
      </c>
      <c r="C54" s="59">
        <f>B55</f>
        <v>124315427.77630848</v>
      </c>
      <c r="D54" s="59">
        <f t="shared" ref="D54:M54" si="8">C55</f>
        <v>87965481.978492677</v>
      </c>
      <c r="E54" s="59">
        <f t="shared" si="8"/>
        <v>42269142.356013305</v>
      </c>
      <c r="F54" s="59">
        <f t="shared" si="8"/>
        <v>13357327.24089592</v>
      </c>
      <c r="G54" s="59">
        <f t="shared" si="8"/>
        <v>103670612.63609886</v>
      </c>
      <c r="H54" s="59">
        <f t="shared" si="8"/>
        <v>154882624.71026778</v>
      </c>
      <c r="I54" s="59">
        <f t="shared" si="8"/>
        <v>122770958.54472451</v>
      </c>
      <c r="J54" s="59">
        <f t="shared" si="8"/>
        <v>83334875.258732647</v>
      </c>
      <c r="K54" s="59">
        <f t="shared" si="8"/>
        <v>162636931.11659244</v>
      </c>
      <c r="L54" s="59">
        <f t="shared" si="8"/>
        <v>109745997.67137118</v>
      </c>
      <c r="M54" s="60">
        <f t="shared" si="8"/>
        <v>82072692.520702869</v>
      </c>
      <c r="N54" s="61">
        <f>B54</f>
        <v>12342983</v>
      </c>
      <c r="O54" s="59">
        <f>N55</f>
        <v>11456857.276499987</v>
      </c>
      <c r="P54" s="62">
        <f>O55</f>
        <v>12371822.973819971</v>
      </c>
      <c r="Q54" s="15"/>
      <c r="R54" s="15"/>
      <c r="S54" s="15"/>
      <c r="T54" s="15"/>
      <c r="U54" s="15"/>
      <c r="V54" s="15"/>
      <c r="W54" s="15"/>
    </row>
    <row r="55" spans="1:23" x14ac:dyDescent="0.25">
      <c r="A55" s="63" t="s">
        <v>37</v>
      </c>
      <c r="B55" s="64">
        <f>B54+B53</f>
        <v>124315427.77630848</v>
      </c>
      <c r="C55" s="65">
        <f>C54+C53</f>
        <v>87965481.978492677</v>
      </c>
      <c r="D55" s="65">
        <f t="shared" ref="D55:P55" si="9">D54+D53</f>
        <v>42269142.356013305</v>
      </c>
      <c r="E55" s="65">
        <f t="shared" si="9"/>
        <v>13357327.24089592</v>
      </c>
      <c r="F55" s="65">
        <f t="shared" si="9"/>
        <v>103670612.63609886</v>
      </c>
      <c r="G55" s="65">
        <f t="shared" si="9"/>
        <v>154882624.71026778</v>
      </c>
      <c r="H55" s="65">
        <f t="shared" si="9"/>
        <v>122770958.54472451</v>
      </c>
      <c r="I55" s="65">
        <f t="shared" si="9"/>
        <v>83334875.258732647</v>
      </c>
      <c r="J55" s="65">
        <f t="shared" si="9"/>
        <v>162636931.11659244</v>
      </c>
      <c r="K55" s="65">
        <f t="shared" si="9"/>
        <v>109745997.67137118</v>
      </c>
      <c r="L55" s="65">
        <f t="shared" si="9"/>
        <v>82072692.520702869</v>
      </c>
      <c r="M55" s="66">
        <f t="shared" si="9"/>
        <v>11456857.276500061</v>
      </c>
      <c r="N55" s="67">
        <f t="shared" si="9"/>
        <v>11456857.276499987</v>
      </c>
      <c r="O55" s="65">
        <f t="shared" si="9"/>
        <v>12371822.973819971</v>
      </c>
      <c r="P55" s="68">
        <f t="shared" si="9"/>
        <v>22199929.806251287</v>
      </c>
      <c r="Q55" s="15"/>
      <c r="R55" s="15"/>
      <c r="S55" s="15"/>
      <c r="T55" s="15"/>
      <c r="U55" s="15"/>
      <c r="V55" s="15"/>
      <c r="W55" s="15"/>
    </row>
    <row r="56" spans="1:23"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85680280.880498007</v>
      </c>
      <c r="F62" s="46">
        <f t="shared" si="10"/>
        <v>79750368.841478169</v>
      </c>
      <c r="G62" s="46">
        <f t="shared" si="10"/>
        <v>96928701.206879959</v>
      </c>
      <c r="H62" s="46">
        <f t="shared" si="10"/>
        <v>77590960.027045608</v>
      </c>
      <c r="I62" s="46">
        <f t="shared" si="10"/>
        <v>73532014.958270341</v>
      </c>
      <c r="J62" s="46">
        <f t="shared" si="10"/>
        <v>78801394.913519323</v>
      </c>
      <c r="K62" s="46">
        <f t="shared" si="10"/>
        <v>89855631.113859385</v>
      </c>
      <c r="L62" s="46">
        <f t="shared" si="10"/>
        <v>74942899.349173635</v>
      </c>
      <c r="M62" s="46">
        <f t="shared" si="10"/>
        <v>100833142.89491691</v>
      </c>
      <c r="N62" s="46">
        <f t="shared" si="10"/>
        <v>1058769625.24</v>
      </c>
      <c r="O62" s="46">
        <f t="shared" si="10"/>
        <v>1130674533.6282001</v>
      </c>
      <c r="P62" s="46">
        <f t="shared" si="10"/>
        <v>1190688188.9777505</v>
      </c>
      <c r="Q62" s="15"/>
      <c r="R62" s="15"/>
      <c r="S62" s="15"/>
      <c r="T62" s="15"/>
      <c r="U62" s="15"/>
      <c r="V62" s="15"/>
      <c r="W62" s="15"/>
    </row>
    <row r="63" spans="1:23" x14ac:dyDescent="0.25">
      <c r="A63" s="15"/>
      <c r="B63" s="15"/>
      <c r="C63" s="15"/>
      <c r="D63" s="15"/>
      <c r="E63" s="46">
        <f t="shared" ref="E63:P63" si="11">E53-E61</f>
        <v>-28911815.115117386</v>
      </c>
      <c r="F63" s="46">
        <f t="shared" si="11"/>
        <v>90313285.395202935</v>
      </c>
      <c r="G63" s="46">
        <f t="shared" si="11"/>
        <v>51212012.074168921</v>
      </c>
      <c r="H63" s="46">
        <f t="shared" si="11"/>
        <v>-32111666.165543273</v>
      </c>
      <c r="I63" s="46">
        <f t="shared" si="11"/>
        <v>-39436083.28599187</v>
      </c>
      <c r="J63" s="46">
        <f t="shared" si="11"/>
        <v>79302055.85785979</v>
      </c>
      <c r="K63" s="46">
        <f t="shared" si="11"/>
        <v>-52890933.44522126</v>
      </c>
      <c r="L63" s="46">
        <f t="shared" si="11"/>
        <v>-27673305.150668316</v>
      </c>
      <c r="M63" s="46">
        <f t="shared" si="11"/>
        <v>-70615835.244202808</v>
      </c>
      <c r="N63" s="46">
        <f t="shared" si="11"/>
        <v>-886125.72350001335</v>
      </c>
      <c r="O63" s="46">
        <f t="shared" si="11"/>
        <v>914965.69731998444</v>
      </c>
      <c r="P63" s="46">
        <f t="shared" si="11"/>
        <v>9828106.8324313164</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2018-05-23T10:20:30Z</dcterms:created>
  <dcterms:modified xsi:type="dcterms:W3CDTF">2018-05-23T10:23:49Z</dcterms:modified>
</cp:coreProperties>
</file>